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<sst xmlns="http://schemas.openxmlformats.org/spreadsheetml/2006/main" count="1626" uniqueCount="268">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</sst>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125276281.15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111451059.19</v>
          </cell>
        </row>
      </sheetData>
      <sheetData sheetId="13">
        <row r="52">
          <cell r="B52">
            <v>32508146.749999993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2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21" sqref="G12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284678.85000000003</v>
      </c>
      <c r="G8" s="22">
        <f aca="true" t="shared" si="0" ref="G8:G30">F8-E8</f>
        <v>-27334.53999999998</v>
      </c>
      <c r="H8" s="51">
        <f>F8/E8*100</f>
        <v>91.23930546698654</v>
      </c>
      <c r="I8" s="36">
        <f aca="true" t="shared" si="1" ref="I8:I17">F8-D8</f>
        <v>-203797.44999999995</v>
      </c>
      <c r="J8" s="36">
        <f aca="true" t="shared" si="2" ref="J8:J14">F8/D8*100</f>
        <v>58.27894823146998</v>
      </c>
      <c r="K8" s="36">
        <f>F8-306776.9</f>
        <v>-22098.04999999999</v>
      </c>
      <c r="L8" s="136">
        <f>F8/306776.9</f>
        <v>0.9279670340237482</v>
      </c>
      <c r="M8" s="22">
        <f>M10+M19+M33+M56+M68+M30</f>
        <v>40778.67999999999</v>
      </c>
      <c r="N8" s="22">
        <f>N10+N19+N33+N56+N68+N30</f>
        <v>15553.570000000005</v>
      </c>
      <c r="O8" s="36">
        <f aca="true" t="shared" si="3" ref="O8:O71">N8-M8</f>
        <v>-25225.109999999986</v>
      </c>
      <c r="P8" s="36">
        <f>F8/M8*100</f>
        <v>698.1070745791675</v>
      </c>
      <c r="Q8" s="36">
        <f>N8-38892.4</f>
        <v>-23338.829999999994</v>
      </c>
      <c r="R8" s="134">
        <f>N8/38892.4</f>
        <v>0.39991283644105285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231484.6</v>
      </c>
      <c r="G9" s="22">
        <f t="shared" si="0"/>
        <v>231484.6</v>
      </c>
      <c r="H9" s="20"/>
      <c r="I9" s="56">
        <f t="shared" si="1"/>
        <v>-155528.6</v>
      </c>
      <c r="J9" s="56">
        <f t="shared" si="2"/>
        <v>59.81310198205125</v>
      </c>
      <c r="K9" s="56"/>
      <c r="L9" s="135"/>
      <c r="M9" s="20">
        <f>M10+M17</f>
        <v>33764.899999999994</v>
      </c>
      <c r="N9" s="20">
        <f>N10+N17</f>
        <v>13598.98000000001</v>
      </c>
      <c r="O9" s="36">
        <f t="shared" si="3"/>
        <v>-20165.919999999984</v>
      </c>
      <c r="P9" s="56">
        <f>F9/M9*100</f>
        <v>685.5776264700919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231484.6</v>
      </c>
      <c r="G10" s="49">
        <f t="shared" si="0"/>
        <v>-23651.399999999994</v>
      </c>
      <c r="H10" s="40">
        <f aca="true" t="shared" si="4" ref="H10:H17">F10/E10*100</f>
        <v>90.72988523767717</v>
      </c>
      <c r="I10" s="56">
        <f t="shared" si="1"/>
        <v>-155528.6</v>
      </c>
      <c r="J10" s="56">
        <f t="shared" si="2"/>
        <v>59.81310198205125</v>
      </c>
      <c r="K10" s="141">
        <f>F10-242707.3</f>
        <v>-11222.699999999983</v>
      </c>
      <c r="L10" s="142">
        <f>F10/242707.3</f>
        <v>0.9537603524904278</v>
      </c>
      <c r="M10" s="40">
        <f>E10-липень!E10</f>
        <v>33764.899999999994</v>
      </c>
      <c r="N10" s="40">
        <f>F10-липень!F10</f>
        <v>13598.98000000001</v>
      </c>
      <c r="O10" s="53">
        <f t="shared" si="3"/>
        <v>-20165.919999999984</v>
      </c>
      <c r="P10" s="56">
        <f aca="true" t="shared" si="5" ref="P10:P17">N10/M10*100</f>
        <v>40.27549318967334</v>
      </c>
      <c r="Q10" s="141">
        <f>N10-31381.5</f>
        <v>-17782.51999999999</v>
      </c>
      <c r="R10" s="142">
        <f>N10/31381.5</f>
        <v>0.43334384908305884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</v>
      </c>
      <c r="G29" s="49">
        <f t="shared" si="0"/>
        <v>65</v>
      </c>
      <c r="H29" s="40">
        <f t="shared" si="6"/>
        <v>108.27393075356414</v>
      </c>
      <c r="I29" s="56">
        <f t="shared" si="7"/>
        <v>-79.39999999999998</v>
      </c>
      <c r="J29" s="56">
        <f t="shared" si="8"/>
        <v>91.46236559139786</v>
      </c>
      <c r="K29" s="148">
        <f>F29-2498.05</f>
        <v>-1647.4500000000003</v>
      </c>
      <c r="L29" s="149">
        <f>F29/2498.05</f>
        <v>0.3405055943636036</v>
      </c>
      <c r="M29" s="40">
        <f>E29-липень!E29</f>
        <v>52</v>
      </c>
      <c r="N29" s="40">
        <f>F29-липень!F29</f>
        <v>-0.03999999999996362</v>
      </c>
      <c r="O29" s="148">
        <f t="shared" si="3"/>
        <v>-52.039999999999964</v>
      </c>
      <c r="P29" s="145">
        <f t="shared" si="9"/>
        <v>-0.07692307692300696</v>
      </c>
      <c r="Q29" s="148">
        <f>N29-74.37</f>
        <v>-74.40999999999997</v>
      </c>
      <c r="R29" s="149">
        <f>N29/74.37</f>
        <v>-0.0005378512841194516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48614.7</v>
      </c>
      <c r="G33" s="49">
        <f aca="true" t="shared" si="14" ref="G33:G72">F33-E33</f>
        <v>-2686.090000000004</v>
      </c>
      <c r="H33" s="40">
        <f aca="true" t="shared" si="15" ref="H33:H67">F33/E33*100</f>
        <v>94.76403774678714</v>
      </c>
      <c r="I33" s="56">
        <f>F33-D33</f>
        <v>-44951.3</v>
      </c>
      <c r="J33" s="56">
        <f aca="true" t="shared" si="16" ref="J33:J72">F33/D33*100</f>
        <v>51.95765555864309</v>
      </c>
      <c r="K33" s="141">
        <f>F33-53788.3</f>
        <v>-5173.600000000006</v>
      </c>
      <c r="L33" s="142">
        <f>F33/53788.3</f>
        <v>0.9038155137827371</v>
      </c>
      <c r="M33" s="40">
        <f>E33-липень!E33</f>
        <v>6439.68</v>
      </c>
      <c r="N33" s="40">
        <f>F33-липень!F33</f>
        <v>1512.5399999999936</v>
      </c>
      <c r="O33" s="53">
        <f t="shared" si="3"/>
        <v>-4927.140000000007</v>
      </c>
      <c r="P33" s="56">
        <f aca="true" t="shared" si="17" ref="P33:P67">N33/M33*100</f>
        <v>23.487813059033886</v>
      </c>
      <c r="Q33" s="141">
        <f>N33-6951.4</f>
        <v>-5438.860000000006</v>
      </c>
      <c r="R33" s="142">
        <f>N33/6951.4</f>
        <v>0.2175878240354452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36114.5</v>
      </c>
      <c r="G55" s="144">
        <f t="shared" si="14"/>
        <v>-1675.989999999998</v>
      </c>
      <c r="H55" s="146">
        <f t="shared" si="15"/>
        <v>95.56504824361896</v>
      </c>
      <c r="I55" s="145">
        <f t="shared" si="18"/>
        <v>-34151.5</v>
      </c>
      <c r="J55" s="145">
        <f t="shared" si="16"/>
        <v>51.396834884581445</v>
      </c>
      <c r="K55" s="148">
        <f>F55-38852.08</f>
        <v>-2737.5800000000017</v>
      </c>
      <c r="L55" s="149">
        <f>F55/38852.08</f>
        <v>0.9295383927964731</v>
      </c>
      <c r="M55" s="40">
        <f>E55-липень!E55</f>
        <v>4679.68</v>
      </c>
      <c r="N55" s="40">
        <f>F55-липень!F55</f>
        <v>1231.5999999999985</v>
      </c>
      <c r="O55" s="148">
        <f t="shared" si="3"/>
        <v>-3448.0800000000017</v>
      </c>
      <c r="P55" s="148">
        <f t="shared" si="17"/>
        <v>26.31803884026255</v>
      </c>
      <c r="Q55" s="163">
        <f>N55-5157.94</f>
        <v>-3926.340000000001</v>
      </c>
      <c r="R55" s="164">
        <f>N55/5157.94</f>
        <v>0.2387774964423779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4225.7</v>
      </c>
      <c r="G56" s="49">
        <f t="shared" si="14"/>
        <v>-278.1999999999998</v>
      </c>
      <c r="H56" s="40">
        <f t="shared" si="15"/>
        <v>93.82313106418881</v>
      </c>
      <c r="I56" s="56">
        <f t="shared" si="18"/>
        <v>-2634.3</v>
      </c>
      <c r="J56" s="56">
        <f t="shared" si="16"/>
        <v>61.59912536443149</v>
      </c>
      <c r="K56" s="56">
        <f>F56-4138.3</f>
        <v>87.39999999999964</v>
      </c>
      <c r="L56" s="135">
        <f>F56/4138.3</f>
        <v>1.0211197834859724</v>
      </c>
      <c r="M56" s="40">
        <f>E56-липень!E56</f>
        <v>553.5999999999995</v>
      </c>
      <c r="N56" s="40">
        <f>F56-липень!F56</f>
        <v>441.92999999999984</v>
      </c>
      <c r="O56" s="53">
        <f t="shared" si="3"/>
        <v>-111.66999999999962</v>
      </c>
      <c r="P56" s="56">
        <f t="shared" si="17"/>
        <v>79.82839595375727</v>
      </c>
      <c r="Q56" s="56">
        <f>N56-484.9</f>
        <v>-42.97000000000014</v>
      </c>
      <c r="R56" s="135">
        <f>N56/484.9</f>
        <v>0.911383790472262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8336.83</v>
      </c>
      <c r="G74" s="50">
        <f aca="true" t="shared" si="24" ref="G74:G92">F74-E74</f>
        <v>-2262.67</v>
      </c>
      <c r="H74" s="51">
        <f aca="true" t="shared" si="25" ref="H74:H87">F74/E74*100</f>
        <v>78.65304967215435</v>
      </c>
      <c r="I74" s="36">
        <f aca="true" t="shared" si="26" ref="I74:I92">F74-D74</f>
        <v>-10021.47</v>
      </c>
      <c r="J74" s="36">
        <f aca="true" t="shared" si="27" ref="J74:J92">F74/D74*100</f>
        <v>45.41177560013727</v>
      </c>
      <c r="K74" s="36">
        <f>F74-12962.5</f>
        <v>-4625.67</v>
      </c>
      <c r="L74" s="136">
        <f>F74/12962.5</f>
        <v>0.6431498553519769</v>
      </c>
      <c r="M74" s="22">
        <f>M77+M86+M88+M89+M94+M95+M96+M97+M99+M87+M104</f>
        <v>1620.5</v>
      </c>
      <c r="N74" s="22">
        <f>N77+N86+N88+N89+N94+N95+N96+N97+N99+N32+N104+N87+N103</f>
        <v>892.6899999999995</v>
      </c>
      <c r="O74" s="55">
        <f aca="true" t="shared" si="28" ref="O74:O92">N74-M74</f>
        <v>-727.8100000000005</v>
      </c>
      <c r="P74" s="36">
        <f>N74/M74*100</f>
        <v>55.08731872878738</v>
      </c>
      <c r="Q74" s="36">
        <f>N74-1702.6</f>
        <v>-809.9100000000004</v>
      </c>
      <c r="R74" s="136">
        <f>N74/1702.6</f>
        <v>0.5243098790085748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117.5</v>
      </c>
      <c r="G77" s="49">
        <f t="shared" si="24"/>
        <v>7.5</v>
      </c>
      <c r="H77" s="40">
        <f t="shared" si="25"/>
        <v>106.81818181818181</v>
      </c>
      <c r="I77" s="56">
        <f t="shared" si="26"/>
        <v>-382.5</v>
      </c>
      <c r="J77" s="56">
        <f t="shared" si="27"/>
        <v>23.5</v>
      </c>
      <c r="K77" s="56">
        <f>F77-1694.5</f>
        <v>-1577</v>
      </c>
      <c r="L77" s="135">
        <f>F77/1694.5</f>
        <v>0.06934198878725288</v>
      </c>
      <c r="M77" s="40">
        <f>E77-липень!E77</f>
        <v>50</v>
      </c>
      <c r="N77" s="40">
        <f>F77-липень!F77</f>
        <v>11.209999999999994</v>
      </c>
      <c r="O77" s="53">
        <f t="shared" si="28"/>
        <v>-38.790000000000006</v>
      </c>
      <c r="P77" s="56">
        <f aca="true" t="shared" si="29" ref="P77:P87">N77/M77*100</f>
        <v>22.419999999999987</v>
      </c>
      <c r="Q77" s="56">
        <f>N77-46.4</f>
        <v>-35.190000000000005</v>
      </c>
      <c r="R77" s="135">
        <f>N77/46.4</f>
        <v>0.24159482758620676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80.1</v>
      </c>
      <c r="G89" s="49">
        <f t="shared" si="24"/>
        <v>-33.900000000000006</v>
      </c>
      <c r="H89" s="40">
        <f>F89/E89*100</f>
        <v>70.26315789473684</v>
      </c>
      <c r="I89" s="56">
        <f t="shared" si="26"/>
        <v>-94.9</v>
      </c>
      <c r="J89" s="56">
        <f t="shared" si="27"/>
        <v>45.771428571428565</v>
      </c>
      <c r="K89" s="56">
        <f>F89-108.5</f>
        <v>-28.400000000000006</v>
      </c>
      <c r="L89" s="135">
        <f>F89/108.5</f>
        <v>0.7382488479262672</v>
      </c>
      <c r="M89" s="40">
        <f>E89-липень!E89</f>
        <v>15</v>
      </c>
      <c r="N89" s="40">
        <f>F89-липень!F89</f>
        <v>1.8599999999999994</v>
      </c>
      <c r="O89" s="53">
        <f t="shared" si="28"/>
        <v>-13.14</v>
      </c>
      <c r="P89" s="56">
        <f>N89/M89*100</f>
        <v>12.399999999999995</v>
      </c>
      <c r="Q89" s="56">
        <f>N89-14.5</f>
        <v>-12.64</v>
      </c>
      <c r="R89" s="135">
        <f>N89/14.5</f>
        <v>0.1282758620689655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578.3</v>
      </c>
      <c r="G96" s="49">
        <f t="shared" si="31"/>
        <v>-116.20000000000005</v>
      </c>
      <c r="H96" s="40">
        <f>F96/E96*100</f>
        <v>83.26853851691864</v>
      </c>
      <c r="I96" s="56">
        <f t="shared" si="32"/>
        <v>-621.7</v>
      </c>
      <c r="J96" s="56">
        <f>F96/D96*100</f>
        <v>48.19166666666666</v>
      </c>
      <c r="K96" s="56">
        <f>F96-693.4</f>
        <v>-115.10000000000002</v>
      </c>
      <c r="L96" s="135">
        <f>F96/693.4</f>
        <v>0.8340063455436977</v>
      </c>
      <c r="M96" s="40">
        <f>E96-липень!E96</f>
        <v>90</v>
      </c>
      <c r="N96" s="40">
        <f>F96-липень!F96</f>
        <v>46.889999999999986</v>
      </c>
      <c r="O96" s="53">
        <f t="shared" si="33"/>
        <v>-43.110000000000014</v>
      </c>
      <c r="P96" s="56">
        <f>N96/M96*100</f>
        <v>52.09999999999998</v>
      </c>
      <c r="Q96" s="56">
        <f>N96-90.8</f>
        <v>-43.91000000000001</v>
      </c>
      <c r="R96" s="135">
        <f>N96/90.8</f>
        <v>0.5164096916299558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2586.5</v>
      </c>
      <c r="G99" s="49">
        <f t="shared" si="31"/>
        <v>-10.5</v>
      </c>
      <c r="H99" s="40">
        <f>F99/E99*100</f>
        <v>99.59568733153638</v>
      </c>
      <c r="I99" s="56">
        <f t="shared" si="32"/>
        <v>-1986.1999999999998</v>
      </c>
      <c r="J99" s="56">
        <f>F99/D99*100</f>
        <v>56.563955649834895</v>
      </c>
      <c r="K99" s="56">
        <f>F99-2979.1</f>
        <v>-392.5999999999999</v>
      </c>
      <c r="L99" s="135">
        <f>F99/2979.1</f>
        <v>0.868215232788426</v>
      </c>
      <c r="M99" s="40">
        <f>E99-липень!E99</f>
        <v>410</v>
      </c>
      <c r="N99" s="40">
        <f>F99-липень!F99</f>
        <v>240.40999999999985</v>
      </c>
      <c r="O99" s="53">
        <f t="shared" si="33"/>
        <v>-169.59000000000015</v>
      </c>
      <c r="P99" s="56">
        <f>N99/M99*100</f>
        <v>58.63658536585362</v>
      </c>
      <c r="Q99" s="56">
        <f>N99-355.4</f>
        <v>-114.99000000000012</v>
      </c>
      <c r="R99" s="135">
        <f>N99/355.4</f>
        <v>0.6764490714687672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578</v>
      </c>
      <c r="G102" s="144"/>
      <c r="H102" s="146"/>
      <c r="I102" s="145"/>
      <c r="J102" s="145"/>
      <c r="K102" s="148">
        <f>F102-421.2</f>
        <v>156.8</v>
      </c>
      <c r="L102" s="149">
        <f>F102/421.2</f>
        <v>1.372269705603039</v>
      </c>
      <c r="M102" s="40">
        <f>E102-липень!E102</f>
        <v>0</v>
      </c>
      <c r="N102" s="40">
        <f>F102-липень!F102</f>
        <v>108.10000000000002</v>
      </c>
      <c r="O102" s="53"/>
      <c r="P102" s="60"/>
      <c r="Q102" s="60">
        <f>N102-95.6</f>
        <v>12.500000000000028</v>
      </c>
      <c r="R102" s="138">
        <f>N102/95.6</f>
        <v>1.1307531380753142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293031.36000000004</v>
      </c>
      <c r="G107" s="50">
        <f>F107-E107</f>
        <v>-29602.72999999998</v>
      </c>
      <c r="H107" s="51">
        <f>F107/E107*100</f>
        <v>90.82467385885974</v>
      </c>
      <c r="I107" s="36">
        <f t="shared" si="34"/>
        <v>-213848.23999999993</v>
      </c>
      <c r="J107" s="36">
        <f t="shared" si="36"/>
        <v>57.81084107547434</v>
      </c>
      <c r="K107" s="36">
        <f>F107-319755.3</f>
        <v>-26723.939999999944</v>
      </c>
      <c r="L107" s="136">
        <f>F107/319755.3</f>
        <v>0.9164237778075924</v>
      </c>
      <c r="M107" s="22">
        <f>M8+M74+M105+M106</f>
        <v>42402.17999999999</v>
      </c>
      <c r="N107" s="22">
        <f>N8+N74+N105+N106</f>
        <v>16446.430000000004</v>
      </c>
      <c r="O107" s="55">
        <f t="shared" si="35"/>
        <v>-25955.74999999999</v>
      </c>
      <c r="P107" s="36">
        <f>N107/M107*100</f>
        <v>38.786755775292704</v>
      </c>
      <c r="Q107" s="36">
        <f>N107-40595</f>
        <v>-24148.569999999996</v>
      </c>
      <c r="R107" s="136">
        <f>N107/40595</f>
        <v>0.40513437615469894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232062.9</v>
      </c>
      <c r="G108" s="71">
        <f>G10-G18+G96</f>
        <v>-23767.599999999995</v>
      </c>
      <c r="H108" s="72">
        <f>F108/E108*100</f>
        <v>90.7096300089317</v>
      </c>
      <c r="I108" s="52">
        <f t="shared" si="34"/>
        <v>-156150.30000000002</v>
      </c>
      <c r="J108" s="52">
        <f t="shared" si="36"/>
        <v>59.77717913764911</v>
      </c>
      <c r="K108" s="52">
        <f>F108-243489.6</f>
        <v>-11426.700000000012</v>
      </c>
      <c r="L108" s="137">
        <f>F108/243489.6</f>
        <v>0.9530710962603741</v>
      </c>
      <c r="M108" s="71">
        <f>M10-M18+M96</f>
        <v>33854.899999999994</v>
      </c>
      <c r="N108" s="71">
        <f>N10-N18+N96</f>
        <v>13645.87000000001</v>
      </c>
      <c r="O108" s="53">
        <f t="shared" si="35"/>
        <v>-20209.029999999984</v>
      </c>
      <c r="P108" s="52">
        <f>N108/M108*100</f>
        <v>40.30692750532423</v>
      </c>
      <c r="Q108" s="52">
        <f>N108-31472.4</f>
        <v>-17826.52999999999</v>
      </c>
      <c r="R108" s="137">
        <f>N108/31472.4</f>
        <v>0.43358212274882146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60968.46000000005</v>
      </c>
      <c r="G109" s="62">
        <f>F109-E109</f>
        <v>-5835.129999999976</v>
      </c>
      <c r="H109" s="72">
        <f>F109/E109*100</f>
        <v>91.2652448768098</v>
      </c>
      <c r="I109" s="52">
        <f t="shared" si="34"/>
        <v>-57697.939999999915</v>
      </c>
      <c r="J109" s="52">
        <f t="shared" si="36"/>
        <v>51.378031186586995</v>
      </c>
      <c r="K109" s="52">
        <f>F109-76265.7</f>
        <v>-15297.239999999947</v>
      </c>
      <c r="L109" s="137">
        <f>F109/76265.7</f>
        <v>0.7994217584051553</v>
      </c>
      <c r="M109" s="71">
        <f>M107-M108</f>
        <v>8547.279999999999</v>
      </c>
      <c r="N109" s="71">
        <f>N107-N108</f>
        <v>2800.559999999994</v>
      </c>
      <c r="O109" s="53">
        <f t="shared" si="35"/>
        <v>-5746.720000000005</v>
      </c>
      <c r="P109" s="52">
        <f>N109/M109*100</f>
        <v>32.765511367358904</v>
      </c>
      <c r="Q109" s="52">
        <f>N109-9122.6</f>
        <v>-6322.040000000006</v>
      </c>
      <c r="R109" s="137">
        <f>N109/9122.6</f>
        <v>0.3069914278824013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232062.9</v>
      </c>
      <c r="G110" s="111">
        <f>F110-E110</f>
        <v>-18397.70000000001</v>
      </c>
      <c r="H110" s="72">
        <f>F110/E110*100</f>
        <v>92.65445343499137</v>
      </c>
      <c r="I110" s="81">
        <f t="shared" si="34"/>
        <v>-156150.30000000002</v>
      </c>
      <c r="J110" s="52">
        <f t="shared" si="36"/>
        <v>59.77717913764911</v>
      </c>
      <c r="K110" s="52"/>
      <c r="L110" s="137"/>
      <c r="M110" s="72">
        <f>E110-липень!E110</f>
        <v>33854.899999999994</v>
      </c>
      <c r="N110" s="71">
        <f>N108</f>
        <v>13645.87000000001</v>
      </c>
      <c r="O110" s="63">
        <f t="shared" si="35"/>
        <v>-20209.029999999984</v>
      </c>
      <c r="P110" s="52">
        <f>N110/M110*100</f>
        <v>40.30692750532423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896.6</v>
      </c>
      <c r="G115" s="49">
        <f t="shared" si="37"/>
        <v>-1455.5</v>
      </c>
      <c r="H115" s="40">
        <f aca="true" t="shared" si="39" ref="H115:H126">F115/E115*100</f>
        <v>38.11912758811275</v>
      </c>
      <c r="I115" s="60">
        <f t="shared" si="38"/>
        <v>-2774.9</v>
      </c>
      <c r="J115" s="60">
        <f aca="true" t="shared" si="40" ref="J115:J121">F115/D115*100</f>
        <v>24.42053656543647</v>
      </c>
      <c r="K115" s="60">
        <f>F115-2927.1</f>
        <v>-2030.5</v>
      </c>
      <c r="L115" s="138">
        <f>F115/2927.1</f>
        <v>0.306309999658365</v>
      </c>
      <c r="M115" s="40">
        <f>E115-липень!E115</f>
        <v>327.5</v>
      </c>
      <c r="N115" s="40">
        <f>F115-липень!F115</f>
        <v>83.25</v>
      </c>
      <c r="O115" s="53">
        <f aca="true" t="shared" si="41" ref="O115:O126">N115-M115</f>
        <v>-244.25</v>
      </c>
      <c r="P115" s="60">
        <f>N115/M115*100</f>
        <v>25.419847328244277</v>
      </c>
      <c r="Q115" s="60">
        <f>N115-728.3</f>
        <v>-645.05</v>
      </c>
      <c r="R115" s="138">
        <f>N115/728.3</f>
        <v>0.11430729095153097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205.4</v>
      </c>
      <c r="G116" s="49">
        <f t="shared" si="37"/>
        <v>26.900000000000006</v>
      </c>
      <c r="H116" s="40">
        <f t="shared" si="39"/>
        <v>115.0700280112045</v>
      </c>
      <c r="I116" s="60">
        <f t="shared" si="38"/>
        <v>-62.70000000000002</v>
      </c>
      <c r="J116" s="60">
        <f t="shared" si="40"/>
        <v>76.61320402834762</v>
      </c>
      <c r="K116" s="60">
        <f>F116-175.7</f>
        <v>29.700000000000017</v>
      </c>
      <c r="L116" s="138">
        <f>F116/175.7</f>
        <v>1.1690381331815596</v>
      </c>
      <c r="M116" s="40">
        <f>E116-липень!E116</f>
        <v>22</v>
      </c>
      <c r="N116" s="40">
        <f>F116-липень!F116</f>
        <v>22.060000000000002</v>
      </c>
      <c r="O116" s="53">
        <f t="shared" si="41"/>
        <v>0.060000000000002274</v>
      </c>
      <c r="P116" s="60">
        <f>N116/M116*100</f>
        <v>100.2727272727273</v>
      </c>
      <c r="Q116" s="60">
        <f>N116-21.9</f>
        <v>0.1600000000000037</v>
      </c>
      <c r="R116" s="138">
        <f>N116/21.9</f>
        <v>1.0073059360730596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1101.1000000000001</v>
      </c>
      <c r="G117" s="62">
        <f t="shared" si="37"/>
        <v>-1429.4999999999998</v>
      </c>
      <c r="H117" s="72">
        <f t="shared" si="39"/>
        <v>43.51142021654944</v>
      </c>
      <c r="I117" s="61">
        <f t="shared" si="38"/>
        <v>-2838.5</v>
      </c>
      <c r="J117" s="61">
        <f t="shared" si="40"/>
        <v>27.949538024164895</v>
      </c>
      <c r="K117" s="61">
        <f>F117-3123.4</f>
        <v>-2022.3</v>
      </c>
      <c r="L117" s="139">
        <f>F117/3123.4</f>
        <v>0.35253249663827885</v>
      </c>
      <c r="M117" s="62">
        <f>M115+M116+M114</f>
        <v>349.5</v>
      </c>
      <c r="N117" s="38">
        <f>SUM(N114:N116)</f>
        <v>105.55</v>
      </c>
      <c r="O117" s="61">
        <f t="shared" si="41"/>
        <v>-243.95</v>
      </c>
      <c r="P117" s="61">
        <f>N117/M117*100</f>
        <v>30.200286123032903</v>
      </c>
      <c r="Q117" s="61">
        <f>N117-757.4</f>
        <v>-651.85</v>
      </c>
      <c r="R117" s="139">
        <f>N117/757.4</f>
        <v>0.1393583311328228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261.2</v>
      </c>
      <c r="G119" s="49">
        <f t="shared" si="37"/>
        <v>78.69999999999999</v>
      </c>
      <c r="H119" s="40">
        <f t="shared" si="39"/>
        <v>143.12328767123287</v>
      </c>
      <c r="I119" s="60">
        <f t="shared" si="38"/>
        <v>-6</v>
      </c>
      <c r="J119" s="60">
        <f t="shared" si="40"/>
        <v>97.75449101796407</v>
      </c>
      <c r="K119" s="60">
        <f>F119-173.1</f>
        <v>88.1</v>
      </c>
      <c r="L119" s="138">
        <f>F119/173.1</f>
        <v>1.5089543616406702</v>
      </c>
      <c r="M119" s="40">
        <f>E119-липень!E119</f>
        <v>0</v>
      </c>
      <c r="N119" s="40">
        <f>F119-липень!F119</f>
        <v>2.1299999999999955</v>
      </c>
      <c r="O119" s="53">
        <f>N119-M119</f>
        <v>2.1299999999999955</v>
      </c>
      <c r="P119" s="60" t="e">
        <f>N119/M119*100</f>
        <v>#DIV/0!</v>
      </c>
      <c r="Q119" s="60">
        <f>N119-0.4</f>
        <v>1.7299999999999955</v>
      </c>
      <c r="R119" s="138">
        <f>N119/0.4</f>
        <v>5.324999999999989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51404.7</v>
      </c>
      <c r="G120" s="49">
        <f t="shared" si="37"/>
        <v>1992.0999999999985</v>
      </c>
      <c r="H120" s="40">
        <f t="shared" si="39"/>
        <v>104.03156279977172</v>
      </c>
      <c r="I120" s="53">
        <f t="shared" si="38"/>
        <v>-20571.290000000008</v>
      </c>
      <c r="J120" s="60">
        <f t="shared" si="40"/>
        <v>71.41923299700358</v>
      </c>
      <c r="K120" s="60">
        <f>F120-47624.2</f>
        <v>3780.5</v>
      </c>
      <c r="L120" s="138">
        <f>F120/47624.2</f>
        <v>1.0793819108772431</v>
      </c>
      <c r="M120" s="40">
        <f>E120-липень!E120</f>
        <v>8100</v>
      </c>
      <c r="N120" s="40">
        <f>F120-липень!F120</f>
        <v>5194.969999999994</v>
      </c>
      <c r="O120" s="53">
        <f t="shared" si="41"/>
        <v>-2905.030000000006</v>
      </c>
      <c r="P120" s="60">
        <f aca="true" t="shared" si="42" ref="P120:P125">N120/M120*100</f>
        <v>64.13543209876535</v>
      </c>
      <c r="Q120" s="60">
        <f>N120-7964.9</f>
        <v>-2769.9300000000057</v>
      </c>
      <c r="R120" s="138">
        <f>N120/7964.9</f>
        <v>0.6522329219450331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2237.5</v>
      </c>
      <c r="G122" s="49">
        <f t="shared" si="37"/>
        <v>-7376.5</v>
      </c>
      <c r="H122" s="40">
        <f t="shared" si="39"/>
        <v>23.273351362596216</v>
      </c>
      <c r="I122" s="60">
        <f t="shared" si="38"/>
        <v>-20840.5</v>
      </c>
      <c r="J122" s="60">
        <f>F122/D122*100</f>
        <v>9.695380882225496</v>
      </c>
      <c r="K122" s="60">
        <f>F122-14737.3</f>
        <v>-12499.8</v>
      </c>
      <c r="L122" s="138">
        <f>F122/14737.3</f>
        <v>0.1518256397033378</v>
      </c>
      <c r="M122" s="40">
        <f>E122-липень!E122</f>
        <v>2381.5</v>
      </c>
      <c r="N122" s="40">
        <f>F122-липень!F122</f>
        <v>1.5300000000002</v>
      </c>
      <c r="O122" s="53">
        <f t="shared" si="41"/>
        <v>-2379.97</v>
      </c>
      <c r="P122" s="60">
        <f t="shared" si="42"/>
        <v>0.06424522359858073</v>
      </c>
      <c r="Q122" s="60">
        <f>N122-560</f>
        <v>-558.4699999999998</v>
      </c>
      <c r="R122" s="138">
        <f>N122/560</f>
        <v>0.0027321428571432144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764.6</v>
      </c>
      <c r="G123" s="49">
        <f t="shared" si="37"/>
        <v>-477.0300000000001</v>
      </c>
      <c r="H123" s="40">
        <f t="shared" si="39"/>
        <v>61.58034196982997</v>
      </c>
      <c r="I123" s="60">
        <f t="shared" si="38"/>
        <v>-1235.4</v>
      </c>
      <c r="J123" s="60">
        <f>F123/D123*100</f>
        <v>38.230000000000004</v>
      </c>
      <c r="K123" s="60">
        <f>F123-1640.1</f>
        <v>-875.4999999999999</v>
      </c>
      <c r="L123" s="138">
        <f>F123/1640.1</f>
        <v>0.4661910859093958</v>
      </c>
      <c r="M123" s="40">
        <f>E123-липень!E123</f>
        <v>189.59000000000015</v>
      </c>
      <c r="N123" s="40">
        <f>F123-липень!F123</f>
        <v>0.37999999999999545</v>
      </c>
      <c r="O123" s="53">
        <f t="shared" si="41"/>
        <v>-189.21000000000015</v>
      </c>
      <c r="P123" s="60">
        <f t="shared" si="42"/>
        <v>0.20043251226330247</v>
      </c>
      <c r="Q123" s="60">
        <f>N123-290.7</f>
        <v>-290.32</v>
      </c>
      <c r="R123" s="138">
        <f>N123/290.7</f>
        <v>0.0013071895424836446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56346.12999999999</v>
      </c>
      <c r="G124" s="62">
        <f t="shared" si="37"/>
        <v>-5827.600000000006</v>
      </c>
      <c r="H124" s="72">
        <f t="shared" si="39"/>
        <v>90.62690946803416</v>
      </c>
      <c r="I124" s="61">
        <f t="shared" si="38"/>
        <v>-50975.06000000001</v>
      </c>
      <c r="J124" s="61">
        <f>F124/D124*100</f>
        <v>52.50233434795122</v>
      </c>
      <c r="K124" s="61">
        <f>F124-65296.9</f>
        <v>-8950.770000000011</v>
      </c>
      <c r="L124" s="139">
        <f>F124/65296.9</f>
        <v>0.8629219763878528</v>
      </c>
      <c r="M124" s="62">
        <f>M120+M121+M122+M123+M119</f>
        <v>10711.09</v>
      </c>
      <c r="N124" s="62">
        <f>N120+N121+N122+N123+N119</f>
        <v>5199.009999999995</v>
      </c>
      <c r="O124" s="61">
        <f t="shared" si="41"/>
        <v>-5512.080000000005</v>
      </c>
      <c r="P124" s="61">
        <f t="shared" si="42"/>
        <v>48.538570771041925</v>
      </c>
      <c r="Q124" s="61">
        <f>N124-8817.5</f>
        <v>-3618.4900000000052</v>
      </c>
      <c r="R124" s="139">
        <f>N124/8817.5</f>
        <v>0.589624043096115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5324.2</v>
      </c>
      <c r="G128" s="49">
        <f aca="true" t="shared" si="43" ref="G128:G135">F128-E128</f>
        <v>-1393.3000000000002</v>
      </c>
      <c r="H128" s="40">
        <f>F128/E128*100</f>
        <v>79.25865277260885</v>
      </c>
      <c r="I128" s="60">
        <f aca="true" t="shared" si="44" ref="I128:I135">F128-D128</f>
        <v>-3375.8</v>
      </c>
      <c r="J128" s="60">
        <f>F128/D128*100</f>
        <v>61.197701149425285</v>
      </c>
      <c r="K128" s="60">
        <f>F128-8680.2</f>
        <v>-3356.000000000001</v>
      </c>
      <c r="L128" s="138">
        <f>F128/8680.2</f>
        <v>0.6133729637565954</v>
      </c>
      <c r="M128" s="40">
        <f>E128-липень!E128</f>
        <v>1702</v>
      </c>
      <c r="N128" s="40">
        <f>F128-липень!F128</f>
        <v>16.029999999999745</v>
      </c>
      <c r="O128" s="53">
        <f aca="true" t="shared" si="45" ref="O128:O135">N128-M128</f>
        <v>-1685.9700000000003</v>
      </c>
      <c r="P128" s="60">
        <f>N128/M128*100</f>
        <v>0.9418331374852965</v>
      </c>
      <c r="Q128" s="60">
        <f>N128-2359.4</f>
        <v>-2343.3700000000003</v>
      </c>
      <c r="R128" s="162">
        <f>N128/2359.4</f>
        <v>0.006794100194964714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5358.37</v>
      </c>
      <c r="G130" s="62">
        <f t="shared" si="43"/>
        <v>-1389.4899999999998</v>
      </c>
      <c r="H130" s="72">
        <f>F130/E130*100</f>
        <v>79.40843467410409</v>
      </c>
      <c r="I130" s="61">
        <f t="shared" si="44"/>
        <v>-3392.330000000001</v>
      </c>
      <c r="J130" s="61">
        <f>F130/D130*100</f>
        <v>61.233615596466564</v>
      </c>
      <c r="K130" s="61">
        <f>F130-8800.6</f>
        <v>-3442.2300000000005</v>
      </c>
      <c r="L130" s="139">
        <f>G130/8800.6</f>
        <v>-0.15788582596641135</v>
      </c>
      <c r="M130" s="62">
        <f>M125+M128+M129+M127</f>
        <v>1706</v>
      </c>
      <c r="N130" s="62">
        <f>N125+N128+N129+N127</f>
        <v>16.029999999999745</v>
      </c>
      <c r="O130" s="61">
        <f t="shared" si="45"/>
        <v>-1689.9700000000003</v>
      </c>
      <c r="P130" s="61">
        <f>N130/M130*100</f>
        <v>0.9396248534583672</v>
      </c>
      <c r="Q130" s="61">
        <f>N130-2362.3</f>
        <v>-2346.2700000000004</v>
      </c>
      <c r="R130" s="137">
        <f>N130/2362.3</f>
        <v>0.006785759641027704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62827.99999999999</v>
      </c>
      <c r="G134" s="50">
        <f t="shared" si="43"/>
        <v>-8640.640000000007</v>
      </c>
      <c r="H134" s="51">
        <f>F134/E134*100</f>
        <v>87.90988607031</v>
      </c>
      <c r="I134" s="36">
        <f t="shared" si="44"/>
        <v>-57213.49000000001</v>
      </c>
      <c r="J134" s="36">
        <f>F134/D134*100</f>
        <v>52.338570605879674</v>
      </c>
      <c r="K134" s="36">
        <f>F134-77238.6</f>
        <v>-14410.600000000013</v>
      </c>
      <c r="L134" s="136">
        <f>F134/77238.6</f>
        <v>0.8134274831496168</v>
      </c>
      <c r="M134" s="31">
        <f>M117+M131+M124+M130+M133+M132</f>
        <v>12766.99</v>
      </c>
      <c r="N134" s="31">
        <f>N117+N131+N124+N130+N133+N132</f>
        <v>5320.589999999995</v>
      </c>
      <c r="O134" s="36">
        <f t="shared" si="45"/>
        <v>-7446.400000000005</v>
      </c>
      <c r="P134" s="36">
        <f>N134/M134*100</f>
        <v>41.67458422071291</v>
      </c>
      <c r="Q134" s="36">
        <f>N134-11937.6</f>
        <v>-6617.010000000006</v>
      </c>
      <c r="R134" s="136">
        <f>N134/11937.6</f>
        <v>0.4457001407318049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355859.36000000004</v>
      </c>
      <c r="G135" s="50">
        <f t="shared" si="43"/>
        <v>-38243.369999999995</v>
      </c>
      <c r="H135" s="51">
        <f>F135/E135*100</f>
        <v>90.29609107249777</v>
      </c>
      <c r="I135" s="36">
        <f t="shared" si="44"/>
        <v>-271061.7299999999</v>
      </c>
      <c r="J135" s="36">
        <f>F135/D135*100</f>
        <v>56.76302259986182</v>
      </c>
      <c r="K135" s="36">
        <f>F135-396993.9</f>
        <v>-41134.53999999998</v>
      </c>
      <c r="L135" s="136">
        <f>F135/396993.9</f>
        <v>0.8963849570484584</v>
      </c>
      <c r="M135" s="22">
        <f>M107+M134</f>
        <v>55169.16999999999</v>
      </c>
      <c r="N135" s="22">
        <f>N107+N134</f>
        <v>21767.019999999997</v>
      </c>
      <c r="O135" s="36">
        <f t="shared" si="45"/>
        <v>-33402.149999999994</v>
      </c>
      <c r="P135" s="36">
        <f>N135/M135*100</f>
        <v>39.45504345996142</v>
      </c>
      <c r="Q135" s="36">
        <f>N135-52532.5</f>
        <v>-30765.480000000003</v>
      </c>
      <c r="R135" s="136">
        <f>N135/52532.5</f>
        <v>0.4143534002760195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10</v>
      </c>
      <c r="D137" s="4" t="s">
        <v>118</v>
      </c>
    </row>
    <row r="138" spans="2:17" ht="31.5">
      <c r="B138" s="78" t="s">
        <v>154</v>
      </c>
      <c r="C138" s="39">
        <f>IF(O107&lt;0,ABS(O107/C137),0)</f>
        <v>2595.574999999999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41865</v>
      </c>
      <c r="D139" s="39">
        <v>1689.5</v>
      </c>
      <c r="N139" s="179"/>
      <c r="O139" s="179"/>
    </row>
    <row r="140" spans="3:15" ht="15.75">
      <c r="C140" s="120">
        <v>41864</v>
      </c>
      <c r="D140" s="39">
        <v>979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41863</v>
      </c>
      <c r="D141" s="39">
        <v>794.3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125276.28115000001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111451.05919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32508.146749999993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11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115" sqref="K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32508.146749999993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2014-08-15T11:26:18Z</cp:lastPrinted>
  <dcterms:created xsi:type="dcterms:W3CDTF">2003-07-28T11:27:56Z</dcterms:created>
  <dcterms:modified xsi:type="dcterms:W3CDTF">2014-08-15T11:26:39Z</dcterms:modified>
  <cp:category/>
  <cp:version/>
  <cp:contentType/>
  <cp:contentStatus/>
</cp:coreProperties>
</file>